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ban092\Desktop\RJ20084_AC\"/>
    </mc:Choice>
  </mc:AlternateContent>
  <xr:revisionPtr revIDLastSave="0" documentId="13_ncr:1_{F332B0E4-4AD6-46AB-ABCF-F76862E7A364}" xr6:coauthVersionLast="46" xr6:coauthVersionMax="46" xr10:uidLastSave="{00000000-0000-0000-0000-000000000000}"/>
  <bookViews>
    <workbookView xWindow="720" yWindow="1020" windowWidth="22320" windowHeight="11940" xr2:uid="{00000000-000D-0000-FFFF-FFFF00000000}"/>
  </bookViews>
  <sheets>
    <sheet name="pdk LTCC" sheetId="1" r:id="rId1"/>
    <sheet name="Summary" sheetId="2" r:id="rId2"/>
    <sheet name="Shee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1" i="1" l="1"/>
  <c r="E61" i="1"/>
  <c r="C61" i="1"/>
  <c r="B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</calcChain>
</file>

<file path=xl/sharedStrings.xml><?xml version="1.0" encoding="utf-8"?>
<sst xmlns="http://schemas.openxmlformats.org/spreadsheetml/2006/main" count="81" uniqueCount="76">
  <si>
    <t>(1) Use this spreadsheet to adjust land condition state to reflect actual paddock/parcel condition state rather than the default A condition state</t>
  </si>
  <si>
    <t>(2) USE this spreadsheet to modify paddock/parcel areas considered ungrazed</t>
  </si>
  <si>
    <t>Please adjust the percentage areas under land condition A, B, C, D for each paddock based on your observation (columns F,G,H,I) ensure total column J = 100%</t>
  </si>
  <si>
    <t>Please adjust the area ungrazed in column C, if long-term carrying capacity = 0, estimate A condition long-term carrying capacity from other paddocks</t>
  </si>
  <si>
    <t>Paddock</t>
  </si>
  <si>
    <t>Considered</t>
  </si>
  <si>
    <t>LTCC</t>
  </si>
  <si>
    <t>Percentage area</t>
  </si>
  <si>
    <t>Total percentage</t>
  </si>
  <si>
    <t>Adjusted LTCC</t>
  </si>
  <si>
    <t>Name</t>
  </si>
  <si>
    <t>Area (ha)</t>
  </si>
  <si>
    <t>Ungrazed (ha)</t>
  </si>
  <si>
    <t>A condition (ha/AE)</t>
  </si>
  <si>
    <t>A condition (AE)</t>
  </si>
  <si>
    <t>A conditon</t>
  </si>
  <si>
    <t>B conditon</t>
  </si>
  <si>
    <t>C conditon</t>
  </si>
  <si>
    <t>D conditon</t>
  </si>
  <si>
    <t>(AE)</t>
  </si>
  <si>
    <t>Spring Pdk</t>
  </si>
  <si>
    <t>Little River North Pdk</t>
  </si>
  <si>
    <t>Walkers Creek Pdk</t>
  </si>
  <si>
    <t>Bottom Stockyard Pdk</t>
  </si>
  <si>
    <t>Dingo Pdk</t>
  </si>
  <si>
    <t>Rio Tinto Pdk</t>
  </si>
  <si>
    <t>Roadhouse</t>
  </si>
  <si>
    <t>Junction Pdk</t>
  </si>
  <si>
    <t>Roadhouse Pdk</t>
  </si>
  <si>
    <t>Red Pdk</t>
  </si>
  <si>
    <t>Green Ant Dam</t>
  </si>
  <si>
    <t>Hammers Dam</t>
  </si>
  <si>
    <t>South Yards</t>
  </si>
  <si>
    <t>Green Ant Pdk</t>
  </si>
  <si>
    <t>Duckhole Pdk</t>
  </si>
  <si>
    <t>Soda Springs Pdk</t>
  </si>
  <si>
    <t>Bluewater Springs Pdk</t>
  </si>
  <si>
    <t>Dans Pdk</t>
  </si>
  <si>
    <t>Arsenic Pdk</t>
  </si>
  <si>
    <t>Roads Pdk</t>
  </si>
  <si>
    <t>Continong Yards</t>
  </si>
  <si>
    <t>Yards</t>
  </si>
  <si>
    <t>River Pdk</t>
  </si>
  <si>
    <t>Cockatoo Dam</t>
  </si>
  <si>
    <t>Homestead</t>
  </si>
  <si>
    <t>Arsenic Dam</t>
  </si>
  <si>
    <t>Middle Yards</t>
  </si>
  <si>
    <t>Poison Pdk</t>
  </si>
  <si>
    <t>George Pdk</t>
  </si>
  <si>
    <t>Horts Dam Pdk</t>
  </si>
  <si>
    <t>Howards Pdk</t>
  </si>
  <si>
    <t>Thunder Pdk</t>
  </si>
  <si>
    <t>Arsenic South Pdk</t>
  </si>
  <si>
    <t>Cockatoo Pdk</t>
  </si>
  <si>
    <t>Rio Tinto Dam</t>
  </si>
  <si>
    <t>Heritage Pdk</t>
  </si>
  <si>
    <t>Continong Pdk</t>
  </si>
  <si>
    <t>Air Strip Pdk</t>
  </si>
  <si>
    <t>Yards Pdk</t>
  </si>
  <si>
    <t>Trough Pdk</t>
  </si>
  <si>
    <t>Derricks Pdk</t>
  </si>
  <si>
    <t>South Homestead Pdk</t>
  </si>
  <si>
    <t>Snake Creek Pdk</t>
  </si>
  <si>
    <t>Roberts Pdk</t>
  </si>
  <si>
    <t>Long Pdk</t>
  </si>
  <si>
    <t>Top Stockyard Pdk</t>
  </si>
  <si>
    <t>Spring Creek Pdk</t>
  </si>
  <si>
    <t>Arsenic North Pdk</t>
  </si>
  <si>
    <t>North Homestead Pdk</t>
  </si>
  <si>
    <t>Little River South Pdk</t>
  </si>
  <si>
    <t>Rogers Pdk</t>
  </si>
  <si>
    <t>Total</t>
  </si>
  <si>
    <t>Total carrying capacity: 2889 AE (13.2 Hectares/AE)</t>
  </si>
  <si>
    <t>Land types and other areas not used for calculation of long-term carrying capacity are: , Water  with a total area of   0</t>
  </si>
  <si>
    <t xml:space="preserve">The paddocks without water sources: South Yards </t>
  </si>
  <si>
    <r>
      <rPr>
        <b/>
        <sz val="11"/>
        <color theme="1"/>
        <rFont val="Calibri"/>
        <family val="2"/>
        <scheme val="minor"/>
      </rPr>
      <t>Supplementary Materials</t>
    </r>
    <r>
      <rPr>
        <sz val="11"/>
        <color theme="1"/>
        <rFont val="Calibri"/>
        <family val="2"/>
        <scheme val="minor"/>
      </rPr>
      <t>: Spreadsheet with paddock level long-term carrying capacity data (prototype v1.0) for spyglass_7Sep2021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</si>
</sst>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name val="Times New Roman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workbookViewId="0">
      <selection activeCell="G2" sqref="G2"/>
    </sheetView>
  </sheetViews>
  <sheetFormatPr defaultRowHeight="14.4" x14ac:dyDescent="0.3"/>
  <sheetData>
    <row r="1" spans="1:11" x14ac:dyDescent="0.3">
      <c r="A1" t="s">
        <v>75</v>
      </c>
    </row>
    <row r="3" spans="1:11" x14ac:dyDescent="0.3">
      <c r="A3" t="s">
        <v>0</v>
      </c>
    </row>
    <row r="4" spans="1:11" x14ac:dyDescent="0.3">
      <c r="A4" t="s">
        <v>1</v>
      </c>
    </row>
    <row r="5" spans="1:11" x14ac:dyDescent="0.3">
      <c r="A5" t="s">
        <v>2</v>
      </c>
    </row>
    <row r="6" spans="1:11" x14ac:dyDescent="0.3">
      <c r="A6" t="s">
        <v>3</v>
      </c>
    </row>
    <row r="8" spans="1:11" x14ac:dyDescent="0.3">
      <c r="A8" s="1" t="s">
        <v>4</v>
      </c>
      <c r="B8" s="1" t="s">
        <v>4</v>
      </c>
      <c r="C8" s="1" t="s">
        <v>5</v>
      </c>
      <c r="D8" s="1" t="s">
        <v>6</v>
      </c>
      <c r="E8" s="1" t="s">
        <v>6</v>
      </c>
      <c r="F8" s="1" t="s">
        <v>7</v>
      </c>
      <c r="G8" s="1" t="s">
        <v>7</v>
      </c>
      <c r="H8" s="1" t="s">
        <v>7</v>
      </c>
      <c r="I8" s="1" t="s">
        <v>7</v>
      </c>
      <c r="J8" s="1" t="s">
        <v>8</v>
      </c>
      <c r="K8" s="1" t="s">
        <v>9</v>
      </c>
    </row>
    <row r="9" spans="1:11" x14ac:dyDescent="0.3">
      <c r="A9" s="1" t="s">
        <v>10</v>
      </c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1" t="s">
        <v>18</v>
      </c>
      <c r="J9" s="1"/>
      <c r="K9" s="1" t="s">
        <v>19</v>
      </c>
    </row>
    <row r="10" spans="1:11" x14ac:dyDescent="0.3">
      <c r="A10" s="2" t="s">
        <v>20</v>
      </c>
      <c r="B10" s="2">
        <v>97.61999999999999</v>
      </c>
      <c r="C10" s="2">
        <v>0</v>
      </c>
      <c r="D10" s="2">
        <v>14.21002726166204</v>
      </c>
      <c r="E10" s="2">
        <v>6.8697968133653058</v>
      </c>
      <c r="F10" s="2">
        <v>100</v>
      </c>
      <c r="G10" s="2">
        <v>0</v>
      </c>
      <c r="H10" s="2">
        <v>0</v>
      </c>
      <c r="I10" s="2">
        <v>0</v>
      </c>
      <c r="J10" s="2">
        <f t="shared" ref="J10:J41" si="0">F10 + G10 + H10 + I10</f>
        <v>100</v>
      </c>
      <c r="K10" s="2">
        <f>(B10-C10)*(F10/100)/14.210027*1 + (B10-C10)*(G10/100)/14.210027*0.75 + (B10-C10)*(H10/100)/14.210027*0.45 +(B10-C10)*(I10/100)/14.210027*0.2</f>
        <v>6.8697969398650676</v>
      </c>
    </row>
    <row r="11" spans="1:11" x14ac:dyDescent="0.3">
      <c r="A11" s="2" t="s">
        <v>21</v>
      </c>
      <c r="B11" s="2">
        <v>133.19999999999999</v>
      </c>
      <c r="C11" s="2">
        <v>0</v>
      </c>
      <c r="D11" s="2">
        <v>5.3675665732616844</v>
      </c>
      <c r="E11" s="2">
        <v>24.81571456673317</v>
      </c>
      <c r="F11" s="2">
        <v>100</v>
      </c>
      <c r="G11" s="2">
        <v>0</v>
      </c>
      <c r="H11" s="2">
        <v>0</v>
      </c>
      <c r="I11" s="2">
        <v>0</v>
      </c>
      <c r="J11" s="2">
        <f t="shared" si="0"/>
        <v>100</v>
      </c>
      <c r="K11" s="2">
        <f>(B11-C11)*(F11/100)/5.367567*1 + (B11-C11)*(G11/100)/5.367567*0.75 + (B11-C11)*(H11/100)/5.367567*0.45 +(B11-C11)*(I11/100)/5.367567*0.2</f>
        <v>24.815712593806463</v>
      </c>
    </row>
    <row r="12" spans="1:11" x14ac:dyDescent="0.3">
      <c r="A12" s="2" t="s">
        <v>22</v>
      </c>
      <c r="B12" s="2">
        <v>1268.1400000000001</v>
      </c>
      <c r="C12" s="2">
        <v>0</v>
      </c>
      <c r="D12" s="2">
        <v>18.932760546573579</v>
      </c>
      <c r="E12" s="2">
        <v>66.981251723986205</v>
      </c>
      <c r="F12" s="2">
        <v>100</v>
      </c>
      <c r="G12" s="2">
        <v>0</v>
      </c>
      <c r="H12" s="2">
        <v>0</v>
      </c>
      <c r="I12" s="2">
        <v>0</v>
      </c>
      <c r="J12" s="2">
        <f t="shared" si="0"/>
        <v>100</v>
      </c>
      <c r="K12" s="2">
        <f>(B12-C12)*(F12/100)/18.932761*1 + (B12-C12)*(G12/100)/18.932761*0.75 + (B12-C12)*(H12/100)/18.932761*0.45 +(B12-C12)*(I12/100)/18.932761*0.2</f>
        <v>66.981250119831969</v>
      </c>
    </row>
    <row r="13" spans="1:11" x14ac:dyDescent="0.3">
      <c r="A13" s="2" t="s">
        <v>23</v>
      </c>
      <c r="B13" s="2">
        <v>1061.8499999999999</v>
      </c>
      <c r="C13" s="2">
        <v>0</v>
      </c>
      <c r="D13" s="2">
        <v>8.835943470937254</v>
      </c>
      <c r="E13" s="2">
        <v>120.1739240967967</v>
      </c>
      <c r="F13" s="2">
        <v>100</v>
      </c>
      <c r="G13" s="2">
        <v>0</v>
      </c>
      <c r="H13" s="2">
        <v>0</v>
      </c>
      <c r="I13" s="2">
        <v>0</v>
      </c>
      <c r="J13" s="2">
        <f t="shared" si="0"/>
        <v>100</v>
      </c>
      <c r="K13" s="2">
        <f>(B13-C13)*(F13/100)/8.835943*1 + (B13-C13)*(G13/100)/8.835943*0.75 + (B13-C13)*(H13/100)/8.835943*0.45 +(B13-C13)*(I13/100)/8.835943*0.2</f>
        <v>120.17393050181512</v>
      </c>
    </row>
    <row r="14" spans="1:11" x14ac:dyDescent="0.3">
      <c r="A14" s="2" t="s">
        <v>24</v>
      </c>
      <c r="B14" s="2">
        <v>1366.35</v>
      </c>
      <c r="C14" s="2">
        <v>0</v>
      </c>
      <c r="D14" s="2">
        <v>13.359858290143279</v>
      </c>
      <c r="E14" s="2">
        <v>102.27279139690231</v>
      </c>
      <c r="F14" s="2">
        <v>100</v>
      </c>
      <c r="G14" s="2">
        <v>0</v>
      </c>
      <c r="H14" s="2">
        <v>0</v>
      </c>
      <c r="I14" s="2">
        <v>0</v>
      </c>
      <c r="J14" s="2">
        <f t="shared" si="0"/>
        <v>100</v>
      </c>
      <c r="K14" s="2">
        <f>(B14-C14)*(F14/100)/13.359858*1 + (B14-C14)*(G14/100)/13.359858*0.75 + (B14-C14)*(H14/100)/13.359858*0.45 +(B14-C14)*(I14/100)/13.359858*0.2</f>
        <v>102.272793618016</v>
      </c>
    </row>
    <row r="15" spans="1:11" x14ac:dyDescent="0.3">
      <c r="A15" s="2" t="s">
        <v>25</v>
      </c>
      <c r="B15" s="2">
        <v>4614.2400000000016</v>
      </c>
      <c r="C15" s="2">
        <v>0</v>
      </c>
      <c r="D15" s="2">
        <v>20.447506360171761</v>
      </c>
      <c r="E15" s="2">
        <v>225.66272477057399</v>
      </c>
      <c r="F15" s="2">
        <v>100</v>
      </c>
      <c r="G15" s="2">
        <v>0</v>
      </c>
      <c r="H15" s="2">
        <v>0</v>
      </c>
      <c r="I15" s="2">
        <v>0</v>
      </c>
      <c r="J15" s="2">
        <f t="shared" si="0"/>
        <v>100</v>
      </c>
      <c r="K15" s="2">
        <f>(B15-C15)*(F15/100)/20.447506*1 + (B15-C15)*(G15/100)/20.447506*0.75 + (B15-C15)*(H15/100)/20.447506*0.45 +(B15-C15)*(I15/100)/20.447506*0.2</f>
        <v>225.66272874550086</v>
      </c>
    </row>
    <row r="16" spans="1:11" x14ac:dyDescent="0.3">
      <c r="A16" s="2" t="s">
        <v>26</v>
      </c>
      <c r="B16" s="2">
        <v>0.93</v>
      </c>
      <c r="C16" s="2">
        <v>0</v>
      </c>
      <c r="D16" s="2">
        <v>5.4879953017305851</v>
      </c>
      <c r="E16" s="2">
        <v>0.16946078647456819</v>
      </c>
      <c r="F16" s="2">
        <v>100</v>
      </c>
      <c r="G16" s="2">
        <v>0</v>
      </c>
      <c r="H16" s="2">
        <v>0</v>
      </c>
      <c r="I16" s="2">
        <v>0</v>
      </c>
      <c r="J16" s="2">
        <f t="shared" si="0"/>
        <v>100</v>
      </c>
      <c r="K16" s="2">
        <f>(B16-C16)*(F16/100)/5.487995*1 + (B16-C16)*(G16/100)/5.487995*0.75 + (B16-C16)*(H16/100)/5.487995*0.45 +(B16-C16)*(I16/100)/5.487995*0.2</f>
        <v>0.16946079579154139</v>
      </c>
    </row>
    <row r="17" spans="1:11" x14ac:dyDescent="0.3">
      <c r="A17" s="2" t="s">
        <v>27</v>
      </c>
      <c r="B17" s="2">
        <v>559.55999999999995</v>
      </c>
      <c r="C17" s="2">
        <v>0</v>
      </c>
      <c r="D17" s="2">
        <v>7.7652738112851578</v>
      </c>
      <c r="E17" s="2">
        <v>72.059274868942765</v>
      </c>
      <c r="F17" s="2">
        <v>100</v>
      </c>
      <c r="G17" s="2">
        <v>0</v>
      </c>
      <c r="H17" s="2">
        <v>0</v>
      </c>
      <c r="I17" s="2">
        <v>0</v>
      </c>
      <c r="J17" s="2">
        <f t="shared" si="0"/>
        <v>100</v>
      </c>
      <c r="K17" s="2">
        <f>(B17-C17)*(F17/100)/7.765274*1 + (B17-C17)*(G17/100)/7.765274*0.75 + (B17-C17)*(H17/100)/7.765274*0.45 +(B17-C17)*(I17/100)/7.765274*0.2</f>
        <v>72.059273117729006</v>
      </c>
    </row>
    <row r="18" spans="1:11" x14ac:dyDescent="0.3">
      <c r="A18" s="2" t="s">
        <v>28</v>
      </c>
      <c r="B18" s="2">
        <v>351.84</v>
      </c>
      <c r="C18" s="2">
        <v>0</v>
      </c>
      <c r="D18" s="2">
        <v>14.613566242842159</v>
      </c>
      <c r="E18" s="2">
        <v>24.076258604728611</v>
      </c>
      <c r="F18" s="2">
        <v>100</v>
      </c>
      <c r="G18" s="2">
        <v>0</v>
      </c>
      <c r="H18" s="2">
        <v>0</v>
      </c>
      <c r="I18" s="2">
        <v>0</v>
      </c>
      <c r="J18" s="2">
        <f t="shared" si="0"/>
        <v>100</v>
      </c>
      <c r="K18" s="2">
        <f>(B18-C18)*(F18/100)/14.613566*1 + (B18-C18)*(G18/100)/14.613566*0.75 + (B18-C18)*(H18/100)/14.613566*0.45 +(B18-C18)*(I18/100)/14.613566*0.2</f>
        <v>24.07625900481785</v>
      </c>
    </row>
    <row r="19" spans="1:11" x14ac:dyDescent="0.3">
      <c r="A19" s="2" t="s">
        <v>29</v>
      </c>
      <c r="B19" s="2">
        <v>363.07</v>
      </c>
      <c r="C19" s="2">
        <v>0</v>
      </c>
      <c r="D19" s="2">
        <v>22.190224772271279</v>
      </c>
      <c r="E19" s="2">
        <v>16.361708983393861</v>
      </c>
      <c r="F19" s="2">
        <v>100</v>
      </c>
      <c r="G19" s="2">
        <v>0</v>
      </c>
      <c r="H19" s="2">
        <v>0</v>
      </c>
      <c r="I19" s="2">
        <v>0</v>
      </c>
      <c r="J19" s="2">
        <f t="shared" si="0"/>
        <v>100</v>
      </c>
      <c r="K19" s="2">
        <f>(B19-C19)*(F19/100)/22.190225*1 + (B19-C19)*(G19/100)/22.190225*0.75 + (B19-C19)*(H19/100)/22.190225*0.45 +(B19-C19)*(I19/100)/22.190225*0.2</f>
        <v>16.361708815480689</v>
      </c>
    </row>
    <row r="20" spans="1:11" x14ac:dyDescent="0.3">
      <c r="A20" s="2" t="s">
        <v>30</v>
      </c>
      <c r="B20" s="2">
        <v>5.73</v>
      </c>
      <c r="C20" s="2">
        <v>0</v>
      </c>
      <c r="D20" s="2">
        <v>7.9351570415592976</v>
      </c>
      <c r="E20" s="2">
        <v>0.72210291113205582</v>
      </c>
      <c r="F20" s="2">
        <v>100</v>
      </c>
      <c r="G20" s="2">
        <v>0</v>
      </c>
      <c r="H20" s="2">
        <v>0</v>
      </c>
      <c r="I20" s="2">
        <v>0</v>
      </c>
      <c r="J20" s="2">
        <f t="shared" si="0"/>
        <v>100</v>
      </c>
      <c r="K20" s="2">
        <f>(B20-C20)*(F20/100)/7.935157*1 + (B20-C20)*(G20/100)/7.935157*0.75 + (B20-C20)*(H20/100)/7.935157*0.45 +(B20-C20)*(I20/100)/7.935157*0.2</f>
        <v>0.72210291491397083</v>
      </c>
    </row>
    <row r="21" spans="1:11" x14ac:dyDescent="0.3">
      <c r="A21" s="2" t="s">
        <v>31</v>
      </c>
      <c r="B21" s="2">
        <v>9.9</v>
      </c>
      <c r="C21" s="2">
        <v>0</v>
      </c>
      <c r="D21" s="2">
        <v>17.46320566742051</v>
      </c>
      <c r="E21" s="2">
        <v>0.5669062249246436</v>
      </c>
      <c r="F21" s="2">
        <v>100</v>
      </c>
      <c r="G21" s="2">
        <v>0</v>
      </c>
      <c r="H21" s="2">
        <v>0</v>
      </c>
      <c r="I21" s="2">
        <v>0</v>
      </c>
      <c r="J21" s="2">
        <f t="shared" si="0"/>
        <v>100</v>
      </c>
      <c r="K21" s="2">
        <f>(B21-C21)*(F21/100)/17.463206*1 + (B21-C21)*(G21/100)/17.463206*0.75 + (B21-C21)*(H21/100)/17.463206*0.45 +(B21-C21)*(I21/100)/17.463206*0.2</f>
        <v>0.56690621412815034</v>
      </c>
    </row>
    <row r="22" spans="1:11" x14ac:dyDescent="0.3">
      <c r="A22" s="2" t="s">
        <v>32</v>
      </c>
      <c r="B22" s="2">
        <v>54.91</v>
      </c>
      <c r="C22" s="2">
        <v>54.91</v>
      </c>
      <c r="D22" s="2">
        <v>0</v>
      </c>
      <c r="E22" s="2">
        <v>0</v>
      </c>
      <c r="F22" s="2">
        <v>100</v>
      </c>
      <c r="G22" s="2">
        <v>0</v>
      </c>
      <c r="H22" s="2">
        <v>0</v>
      </c>
      <c r="I22" s="2">
        <v>0</v>
      </c>
      <c r="J22" s="2">
        <f t="shared" si="0"/>
        <v>100</v>
      </c>
      <c r="K22" s="2">
        <v>0</v>
      </c>
    </row>
    <row r="23" spans="1:11" x14ac:dyDescent="0.3">
      <c r="A23" s="2" t="s">
        <v>33</v>
      </c>
      <c r="B23" s="2">
        <v>834.64</v>
      </c>
      <c r="C23" s="2">
        <v>0</v>
      </c>
      <c r="D23" s="2">
        <v>8.6530474562247264</v>
      </c>
      <c r="E23" s="2">
        <v>96.456191211523588</v>
      </c>
      <c r="F23" s="2">
        <v>100</v>
      </c>
      <c r="G23" s="2">
        <v>0</v>
      </c>
      <c r="H23" s="2">
        <v>0</v>
      </c>
      <c r="I23" s="2">
        <v>0</v>
      </c>
      <c r="J23" s="2">
        <f t="shared" si="0"/>
        <v>100</v>
      </c>
      <c r="K23" s="2">
        <f>(B23-C23)*(F23/100)/8.653047*1 + (B23-C23)*(G23/100)/8.653047*0.75 + (B23-C23)*(H23/100)/8.653047*0.45 +(B23-C23)*(I23/100)/8.653047*0.2</f>
        <v>96.456196297096255</v>
      </c>
    </row>
    <row r="24" spans="1:11" x14ac:dyDescent="0.3">
      <c r="A24" s="2" t="s">
        <v>34</v>
      </c>
      <c r="B24" s="2">
        <v>2265.56</v>
      </c>
      <c r="C24" s="2">
        <v>0</v>
      </c>
      <c r="D24" s="2">
        <v>13.582289212885669</v>
      </c>
      <c r="E24" s="2">
        <v>166.8025149877266</v>
      </c>
      <c r="F24" s="2">
        <v>100</v>
      </c>
      <c r="G24" s="2">
        <v>0</v>
      </c>
      <c r="H24" s="2">
        <v>0</v>
      </c>
      <c r="I24" s="2">
        <v>0</v>
      </c>
      <c r="J24" s="2">
        <f t="shared" si="0"/>
        <v>100</v>
      </c>
      <c r="K24" s="2">
        <f>(B24-C24)*(F24/100)/13.582289*1 + (B24-C24)*(G24/100)/13.582289*0.75 + (B24-C24)*(H24/100)/13.582289*0.45 +(B24-C24)*(I24/100)/13.582289*0.2</f>
        <v>166.80251760215086</v>
      </c>
    </row>
    <row r="25" spans="1:11" x14ac:dyDescent="0.3">
      <c r="A25" s="2" t="s">
        <v>35</v>
      </c>
      <c r="B25" s="2">
        <v>66.48</v>
      </c>
      <c r="C25" s="2">
        <v>0</v>
      </c>
      <c r="D25" s="2">
        <v>25.412351769048371</v>
      </c>
      <c r="E25" s="2">
        <v>2.616050675048935</v>
      </c>
      <c r="F25" s="2">
        <v>100</v>
      </c>
      <c r="G25" s="2">
        <v>0</v>
      </c>
      <c r="H25" s="2">
        <v>0</v>
      </c>
      <c r="I25" s="2">
        <v>0</v>
      </c>
      <c r="J25" s="2">
        <f t="shared" si="0"/>
        <v>100</v>
      </c>
      <c r="K25" s="2">
        <f>(B25-C25)*(F25/100)/25.412352*1 + (B25-C25)*(G25/100)/25.412352*0.75 + (B25-C25)*(H25/100)/25.412352*0.45 +(B25-C25)*(I25/100)/25.412352*0.2</f>
        <v>2.6160506512738375</v>
      </c>
    </row>
    <row r="26" spans="1:11" x14ac:dyDescent="0.3">
      <c r="A26" s="2" t="s">
        <v>36</v>
      </c>
      <c r="B26" s="2">
        <v>146.35</v>
      </c>
      <c r="C26" s="2">
        <v>0</v>
      </c>
      <c r="D26" s="2">
        <v>6.7672426329698654</v>
      </c>
      <c r="E26" s="2">
        <v>21.626238031866311</v>
      </c>
      <c r="F26" s="2">
        <v>100</v>
      </c>
      <c r="G26" s="2">
        <v>0</v>
      </c>
      <c r="H26" s="2">
        <v>0</v>
      </c>
      <c r="I26" s="2">
        <v>0</v>
      </c>
      <c r="J26" s="2">
        <f t="shared" si="0"/>
        <v>100</v>
      </c>
      <c r="K26" s="2">
        <f>(B26-C26)*(F26/100)/6.767243*1 + (B26-C26)*(G26/100)/6.767243*0.75 + (B26-C26)*(H26/100)/6.767243*0.45 +(B26-C26)*(I26/100)/6.767243*0.2</f>
        <v>21.626236858939453</v>
      </c>
    </row>
    <row r="27" spans="1:11" x14ac:dyDescent="0.3">
      <c r="A27" s="2" t="s">
        <v>37</v>
      </c>
      <c r="B27" s="2">
        <v>304.42</v>
      </c>
      <c r="C27" s="2">
        <v>0</v>
      </c>
      <c r="D27" s="2">
        <v>8.3357876814516043</v>
      </c>
      <c r="E27" s="2">
        <v>36.519644169606288</v>
      </c>
      <c r="F27" s="2">
        <v>100</v>
      </c>
      <c r="G27" s="2">
        <v>0</v>
      </c>
      <c r="H27" s="2">
        <v>0</v>
      </c>
      <c r="I27" s="2">
        <v>0</v>
      </c>
      <c r="J27" s="2">
        <f t="shared" si="0"/>
        <v>100</v>
      </c>
      <c r="K27" s="2">
        <f>(B27-C27)*(F27/100)/8.335788*1 + (B27-C27)*(G27/100)/8.335788*0.75 + (B27-C27)*(H27/100)/8.335788*0.45 +(B27-C27)*(I27/100)/8.335788*0.2</f>
        <v>36.519642774024483</v>
      </c>
    </row>
    <row r="28" spans="1:11" x14ac:dyDescent="0.3">
      <c r="A28" s="2" t="s">
        <v>38</v>
      </c>
      <c r="B28" s="2">
        <v>335.78</v>
      </c>
      <c r="C28" s="2">
        <v>0</v>
      </c>
      <c r="D28" s="2">
        <v>14.124723902052709</v>
      </c>
      <c r="E28" s="2">
        <v>23.77250007352016</v>
      </c>
      <c r="F28" s="2">
        <v>100</v>
      </c>
      <c r="G28" s="2">
        <v>0</v>
      </c>
      <c r="H28" s="2">
        <v>0</v>
      </c>
      <c r="I28" s="2">
        <v>0</v>
      </c>
      <c r="J28" s="2">
        <f t="shared" si="0"/>
        <v>100</v>
      </c>
      <c r="K28" s="2">
        <f>(B28-C28)*(F28/100)/14.124724*1 + (B28-C28)*(G28/100)/14.124724*0.75 + (B28-C28)*(H28/100)/14.124724*0.45 +(B28-C28)*(I28/100)/14.124724*0.2</f>
        <v>23.772499908670778</v>
      </c>
    </row>
    <row r="29" spans="1:11" x14ac:dyDescent="0.3">
      <c r="A29" s="2" t="s">
        <v>39</v>
      </c>
      <c r="B29" s="2">
        <v>696.52</v>
      </c>
      <c r="C29" s="2">
        <v>0</v>
      </c>
      <c r="D29" s="2">
        <v>10.55316181179964</v>
      </c>
      <c r="E29" s="2">
        <v>66.001072704221301</v>
      </c>
      <c r="F29" s="2">
        <v>100</v>
      </c>
      <c r="G29" s="2">
        <v>0</v>
      </c>
      <c r="H29" s="2">
        <v>0</v>
      </c>
      <c r="I29" s="2">
        <v>0</v>
      </c>
      <c r="J29" s="2">
        <f t="shared" si="0"/>
        <v>100</v>
      </c>
      <c r="K29" s="2">
        <f>(B29-C29)*(F29/100)/10.553162*1 + (B29-C29)*(G29/100)/10.553162*0.75 + (B29-C29)*(H29/100)/10.553162*0.45 +(B29-C29)*(I29/100)/10.553162*0.2</f>
        <v>66.001071527187776</v>
      </c>
    </row>
    <row r="30" spans="1:11" x14ac:dyDescent="0.3">
      <c r="A30" s="2" t="s">
        <v>40</v>
      </c>
      <c r="B30" s="2">
        <v>98.12</v>
      </c>
      <c r="C30" s="2">
        <v>0</v>
      </c>
      <c r="D30" s="2">
        <v>9.935833434748659</v>
      </c>
      <c r="E30" s="2">
        <v>9.8753668370530701</v>
      </c>
      <c r="F30" s="2">
        <v>100</v>
      </c>
      <c r="G30" s="2">
        <v>0</v>
      </c>
      <c r="H30" s="2">
        <v>0</v>
      </c>
      <c r="I30" s="2">
        <v>0</v>
      </c>
      <c r="J30" s="2">
        <f t="shared" si="0"/>
        <v>100</v>
      </c>
      <c r="K30" s="2">
        <f>(B30-C30)*(F30/100)/9.935833*1 + (B30-C30)*(G30/100)/9.935833*0.75 + (B30-C30)*(H30/100)/9.935833*0.45 +(B30-C30)*(I30/100)/9.935833*0.2</f>
        <v>9.8753672691559924</v>
      </c>
    </row>
    <row r="31" spans="1:11" x14ac:dyDescent="0.3">
      <c r="A31" s="2" t="s">
        <v>41</v>
      </c>
      <c r="B31" s="2">
        <v>16.7</v>
      </c>
      <c r="C31" s="2">
        <v>0</v>
      </c>
      <c r="D31" s="2">
        <v>11.6099605192985</v>
      </c>
      <c r="E31" s="2">
        <v>1.4384200508038461</v>
      </c>
      <c r="F31" s="2">
        <v>100</v>
      </c>
      <c r="G31" s="2">
        <v>0</v>
      </c>
      <c r="H31" s="2">
        <v>0</v>
      </c>
      <c r="I31" s="2">
        <v>0</v>
      </c>
      <c r="J31" s="2">
        <f t="shared" si="0"/>
        <v>100</v>
      </c>
      <c r="K31" s="2">
        <f>(B31-C31)*(F31/100)/11.609961*1 + (B31-C31)*(G31/100)/11.609961*0.75 + (B31-C31)*(H31/100)/11.609961*0.45 +(B31-C31)*(I31/100)/11.609961*0.2</f>
        <v>1.4384199912471711</v>
      </c>
    </row>
    <row r="32" spans="1:11" x14ac:dyDescent="0.3">
      <c r="A32" s="2" t="s">
        <v>42</v>
      </c>
      <c r="B32" s="2">
        <v>2098.14</v>
      </c>
      <c r="C32" s="2">
        <v>0</v>
      </c>
      <c r="D32" s="2">
        <v>14.935881346247751</v>
      </c>
      <c r="E32" s="2">
        <v>140.47647750811191</v>
      </c>
      <c r="F32" s="2">
        <v>100</v>
      </c>
      <c r="G32" s="2">
        <v>0</v>
      </c>
      <c r="H32" s="2">
        <v>0</v>
      </c>
      <c r="I32" s="2">
        <v>0</v>
      </c>
      <c r="J32" s="2">
        <f t="shared" si="0"/>
        <v>100</v>
      </c>
      <c r="K32" s="2">
        <f>(B32-C32)*(F32/100)/14.935881*1 + (B32-C32)*(G32/100)/14.935881*0.75 + (B32-C32)*(H32/100)/14.935881*0.45 +(B32-C32)*(I32/100)/14.935881*0.2</f>
        <v>140.47648076467667</v>
      </c>
    </row>
    <row r="33" spans="1:11" x14ac:dyDescent="0.3">
      <c r="A33" s="2" t="s">
        <v>43</v>
      </c>
      <c r="B33" s="2">
        <v>32.9</v>
      </c>
      <c r="C33" s="2">
        <v>0</v>
      </c>
      <c r="D33" s="2">
        <v>5.6535207490027419</v>
      </c>
      <c r="E33" s="2">
        <v>5.8193825512718647</v>
      </c>
      <c r="F33" s="2">
        <v>100</v>
      </c>
      <c r="G33" s="2">
        <v>0</v>
      </c>
      <c r="H33" s="2">
        <v>0</v>
      </c>
      <c r="I33" s="2">
        <v>0</v>
      </c>
      <c r="J33" s="2">
        <f t="shared" si="0"/>
        <v>100</v>
      </c>
      <c r="K33" s="2">
        <f>(B33-C33)*(F33/100)/5.653521*1 + (B33-C33)*(G33/100)/5.653521*0.75 + (B33-C33)*(H33/100)/5.653521*0.45 +(B33-C33)*(I33/100)/5.653521*0.2</f>
        <v>5.8193822929109134</v>
      </c>
    </row>
    <row r="34" spans="1:11" x14ac:dyDescent="0.3">
      <c r="A34" s="2" t="s">
        <v>44</v>
      </c>
      <c r="B34" s="2">
        <v>109.09</v>
      </c>
      <c r="C34" s="2">
        <v>0</v>
      </c>
      <c r="D34" s="2">
        <v>11.64978088242214</v>
      </c>
      <c r="E34" s="2">
        <v>9.3641246218288305</v>
      </c>
      <c r="F34" s="2">
        <v>100</v>
      </c>
      <c r="G34" s="2">
        <v>0</v>
      </c>
      <c r="H34" s="2">
        <v>0</v>
      </c>
      <c r="I34" s="2">
        <v>0</v>
      </c>
      <c r="J34" s="2">
        <f t="shared" si="0"/>
        <v>100</v>
      </c>
      <c r="K34" s="2">
        <f>(B34-C34)*(F34/100)/11.649781*1 + (B34-C34)*(G34/100)/11.649781*0.75 + (B34-C34)*(H34/100)/11.649781*0.45 +(B34-C34)*(I34/100)/11.649781*0.2</f>
        <v>9.36412452731944</v>
      </c>
    </row>
    <row r="35" spans="1:11" x14ac:dyDescent="0.3">
      <c r="A35" s="2" t="s">
        <v>45</v>
      </c>
      <c r="B35" s="2">
        <v>13.44</v>
      </c>
      <c r="C35" s="2">
        <v>0</v>
      </c>
      <c r="D35" s="2">
        <v>15.794767657122049</v>
      </c>
      <c r="E35" s="2">
        <v>0.8509147011060807</v>
      </c>
      <c r="F35" s="2">
        <v>100</v>
      </c>
      <c r="G35" s="2">
        <v>0</v>
      </c>
      <c r="H35" s="2">
        <v>0</v>
      </c>
      <c r="I35" s="2">
        <v>0</v>
      </c>
      <c r="J35" s="2">
        <f t="shared" si="0"/>
        <v>100</v>
      </c>
      <c r="K35" s="2">
        <f>(B35-C35)*(F35/100)/15.794768*1 + (B35-C35)*(G35/100)/15.794768*0.75 + (B35-C35)*(H35/100)/15.794768*0.45 +(B35-C35)*(I35/100)/15.794768*0.2</f>
        <v>0.85091468263414827</v>
      </c>
    </row>
    <row r="36" spans="1:11" x14ac:dyDescent="0.3">
      <c r="A36" s="2" t="s">
        <v>46</v>
      </c>
      <c r="B36" s="2">
        <v>89.42</v>
      </c>
      <c r="C36" s="2">
        <v>0</v>
      </c>
      <c r="D36" s="2">
        <v>10.57047670039193</v>
      </c>
      <c r="E36" s="2">
        <v>8.4594103496471948</v>
      </c>
      <c r="F36" s="2">
        <v>100</v>
      </c>
      <c r="G36" s="2">
        <v>0</v>
      </c>
      <c r="H36" s="2">
        <v>0</v>
      </c>
      <c r="I36" s="2">
        <v>0</v>
      </c>
      <c r="J36" s="2">
        <f t="shared" si="0"/>
        <v>100</v>
      </c>
      <c r="K36" s="2">
        <f>(B36-C36)*(F36/100)/10.570477*1 + (B36-C36)*(G36/100)/10.570477*0.75 + (B36-C36)*(H36/100)/10.570477*0.45 +(B36-C36)*(I36/100)/10.570477*0.2</f>
        <v>8.4594101098748897</v>
      </c>
    </row>
    <row r="37" spans="1:11" x14ac:dyDescent="0.3">
      <c r="A37" s="2" t="s">
        <v>47</v>
      </c>
      <c r="B37" s="2">
        <v>531.2399999999999</v>
      </c>
      <c r="C37" s="2">
        <v>0</v>
      </c>
      <c r="D37" s="2">
        <v>25.212742856566638</v>
      </c>
      <c r="E37" s="2">
        <v>21.070297786408378</v>
      </c>
      <c r="F37" s="2">
        <v>100</v>
      </c>
      <c r="G37" s="2">
        <v>0</v>
      </c>
      <c r="H37" s="2">
        <v>0</v>
      </c>
      <c r="I37" s="2">
        <v>0</v>
      </c>
      <c r="J37" s="2">
        <f t="shared" si="0"/>
        <v>100</v>
      </c>
      <c r="K37" s="2">
        <f>(B37-C37)*(F37/100)/25.212743*1 + (B37-C37)*(G37/100)/25.212743*0.75 + (B37-C37)*(H37/100)/25.212743*0.45 +(B37-C37)*(I37/100)/25.212743*0.2</f>
        <v>21.070297666541077</v>
      </c>
    </row>
    <row r="38" spans="1:11" x14ac:dyDescent="0.3">
      <c r="A38" s="2" t="s">
        <v>48</v>
      </c>
      <c r="B38" s="2">
        <v>1019.86</v>
      </c>
      <c r="C38" s="2">
        <v>0</v>
      </c>
      <c r="D38" s="2">
        <v>36.019017532002572</v>
      </c>
      <c r="E38" s="2">
        <v>28.314486898313199</v>
      </c>
      <c r="F38" s="2">
        <v>100</v>
      </c>
      <c r="G38" s="2">
        <v>0</v>
      </c>
      <c r="H38" s="2">
        <v>0</v>
      </c>
      <c r="I38" s="2">
        <v>0</v>
      </c>
      <c r="J38" s="2">
        <f t="shared" si="0"/>
        <v>100</v>
      </c>
      <c r="K38" s="2">
        <f>(B38-C38)*(F38/100)/36.019018*1 + (B38-C38)*(G38/100)/36.019018*0.75 + (B38-C38)*(H38/100)/36.019018*0.45 +(B38-C38)*(I38/100)/36.019018*0.2</f>
        <v>28.314486530421235</v>
      </c>
    </row>
    <row r="39" spans="1:11" x14ac:dyDescent="0.3">
      <c r="A39" s="2" t="s">
        <v>49</v>
      </c>
      <c r="B39" s="2">
        <v>171.38</v>
      </c>
      <c r="C39" s="2">
        <v>0</v>
      </c>
      <c r="D39" s="2">
        <v>8.1953165681518811</v>
      </c>
      <c r="E39" s="2">
        <v>20.911943861449611</v>
      </c>
      <c r="F39" s="2">
        <v>100</v>
      </c>
      <c r="G39" s="2">
        <v>0</v>
      </c>
      <c r="H39" s="2">
        <v>0</v>
      </c>
      <c r="I39" s="2">
        <v>0</v>
      </c>
      <c r="J39" s="2">
        <f t="shared" si="0"/>
        <v>100</v>
      </c>
      <c r="K39" s="2">
        <f>(B39-C39)*(F39/100)/8.195317*1 + (B39-C39)*(G39/100)/8.195317*0.75 + (B39-C39)*(H39/100)/8.195317*0.45 +(B39-C39)*(I39/100)/8.195317*0.2</f>
        <v>20.911942759505216</v>
      </c>
    </row>
    <row r="40" spans="1:11" x14ac:dyDescent="0.3">
      <c r="A40" s="2" t="s">
        <v>50</v>
      </c>
      <c r="B40" s="2">
        <v>360.23</v>
      </c>
      <c r="C40" s="2">
        <v>0</v>
      </c>
      <c r="D40" s="2">
        <v>7.0196716865689543</v>
      </c>
      <c r="E40" s="2">
        <v>51.317214833457783</v>
      </c>
      <c r="F40" s="2">
        <v>100</v>
      </c>
      <c r="G40" s="2">
        <v>0</v>
      </c>
      <c r="H40" s="2">
        <v>0</v>
      </c>
      <c r="I40" s="2">
        <v>0</v>
      </c>
      <c r="J40" s="2">
        <f t="shared" si="0"/>
        <v>100</v>
      </c>
      <c r="K40" s="2">
        <f>(B40-C40)*(F40/100)/7.019672*1 + (B40-C40)*(G40/100)/7.019672*0.75 + (B40-C40)*(H40/100)/7.019672*0.45 +(B40-C40)*(I40/100)/7.019672*0.2</f>
        <v>51.31721254212448</v>
      </c>
    </row>
    <row r="41" spans="1:11" x14ac:dyDescent="0.3">
      <c r="A41" s="2" t="s">
        <v>51</v>
      </c>
      <c r="B41" s="2">
        <v>1306.6400000000001</v>
      </c>
      <c r="C41" s="2">
        <v>215.45</v>
      </c>
      <c r="D41" s="2">
        <v>16.208261885397651</v>
      </c>
      <c r="E41" s="2">
        <v>80.615676698633436</v>
      </c>
      <c r="F41" s="2">
        <v>100</v>
      </c>
      <c r="G41" s="2">
        <v>0</v>
      </c>
      <c r="H41" s="2">
        <v>0</v>
      </c>
      <c r="I41" s="2">
        <v>0</v>
      </c>
      <c r="J41" s="2">
        <f t="shared" si="0"/>
        <v>100</v>
      </c>
      <c r="K41" s="2">
        <f>(B41-C41)*(F41/100)/13.535705*1 + (B41-C41)*(G41/100)/13.535705*0.75 + (B41-C41)*(H41/100)/13.535705*0.45 +(B41-C41)*(I41/100)/13.535705*0.2</f>
        <v>80.61567535639999</v>
      </c>
    </row>
    <row r="42" spans="1:11" x14ac:dyDescent="0.3">
      <c r="A42" s="2" t="s">
        <v>52</v>
      </c>
      <c r="B42" s="2">
        <v>118.21</v>
      </c>
      <c r="C42" s="2">
        <v>0</v>
      </c>
      <c r="D42" s="2">
        <v>7.2075569351730904</v>
      </c>
      <c r="E42" s="2">
        <v>16.40084165317262</v>
      </c>
      <c r="F42" s="2">
        <v>100</v>
      </c>
      <c r="G42" s="2">
        <v>0</v>
      </c>
      <c r="H42" s="2">
        <v>0</v>
      </c>
      <c r="I42" s="2">
        <v>0</v>
      </c>
      <c r="J42" s="2">
        <f t="shared" ref="J42:J73" si="1">F42 + G42 + H42 + I42</f>
        <v>100</v>
      </c>
      <c r="K42" s="2">
        <f>(B42-C42)*(F42/100)/7.207557*1 + (B42-C42)*(G42/100)/7.207557*0.75 + (B42-C42)*(H42/100)/7.207557*0.45 +(B42-C42)*(I42/100)/7.207557*0.2</f>
        <v>16.400841505658573</v>
      </c>
    </row>
    <row r="43" spans="1:11" x14ac:dyDescent="0.3">
      <c r="A43" s="2" t="s">
        <v>53</v>
      </c>
      <c r="B43" s="2">
        <v>448.99</v>
      </c>
      <c r="C43" s="2">
        <v>0</v>
      </c>
      <c r="D43" s="2">
        <v>8.3602784720452714</v>
      </c>
      <c r="E43" s="2">
        <v>53.705148877673501</v>
      </c>
      <c r="F43" s="2">
        <v>100</v>
      </c>
      <c r="G43" s="2">
        <v>0</v>
      </c>
      <c r="H43" s="2">
        <v>0</v>
      </c>
      <c r="I43" s="2">
        <v>0</v>
      </c>
      <c r="J43" s="2">
        <f t="shared" si="1"/>
        <v>100</v>
      </c>
      <c r="K43" s="2">
        <f>(B43-C43)*(F43/100)/8.360278*1 + (B43-C43)*(G43/100)/8.360278*0.75 + (B43-C43)*(H43/100)/8.360278*0.45 +(B43-C43)*(I43/100)/8.360278*0.2</f>
        <v>53.70515191002022</v>
      </c>
    </row>
    <row r="44" spans="1:11" x14ac:dyDescent="0.3">
      <c r="A44" s="2" t="s">
        <v>54</v>
      </c>
      <c r="B44" s="2">
        <v>8.5299999999999994</v>
      </c>
      <c r="C44" s="2">
        <v>0</v>
      </c>
      <c r="D44" s="2">
        <v>26.196899773772898</v>
      </c>
      <c r="E44" s="2">
        <v>0.32561104839359017</v>
      </c>
      <c r="F44" s="2">
        <v>100</v>
      </c>
      <c r="G44" s="2">
        <v>0</v>
      </c>
      <c r="H44" s="2">
        <v>0</v>
      </c>
      <c r="I44" s="2">
        <v>0</v>
      </c>
      <c r="J44" s="2">
        <f t="shared" si="1"/>
        <v>100</v>
      </c>
      <c r="K44" s="2">
        <f>(B44-C44)*(F44/100)/26.1969*1 + (B44-C44)*(G44/100)/26.1969*0.75 + (B44-C44)*(H44/100)/26.1969*0.45 +(B44-C44)*(I44/100)/26.1969*0.2</f>
        <v>0.3256110455817291</v>
      </c>
    </row>
    <row r="45" spans="1:11" x14ac:dyDescent="0.3">
      <c r="A45" s="2" t="s">
        <v>55</v>
      </c>
      <c r="B45" s="2">
        <v>3353.2000000000012</v>
      </c>
      <c r="C45" s="2">
        <v>0</v>
      </c>
      <c r="D45" s="2">
        <v>20.73248870720996</v>
      </c>
      <c r="E45" s="2">
        <v>161.73649229259621</v>
      </c>
      <c r="F45" s="2">
        <v>100</v>
      </c>
      <c r="G45" s="2">
        <v>0</v>
      </c>
      <c r="H45" s="2">
        <v>0</v>
      </c>
      <c r="I45" s="2">
        <v>0</v>
      </c>
      <c r="J45" s="2">
        <f t="shared" si="1"/>
        <v>100</v>
      </c>
      <c r="K45" s="2">
        <f>(B45-C45)*(F45/100)/20.732489*1 + (B45-C45)*(G45/100)/20.732489*0.75 + (B45-C45)*(H45/100)/20.732489*0.45 +(B45-C45)*(I45/100)/20.732489*0.2</f>
        <v>161.73649000850796</v>
      </c>
    </row>
    <row r="46" spans="1:11" x14ac:dyDescent="0.3">
      <c r="A46" s="2" t="s">
        <v>56</v>
      </c>
      <c r="B46" s="2">
        <v>2734.3000000000011</v>
      </c>
      <c r="C46" s="2">
        <v>55.93</v>
      </c>
      <c r="D46" s="2">
        <v>14.026146010663091</v>
      </c>
      <c r="E46" s="2">
        <v>194.9430725960863</v>
      </c>
      <c r="F46" s="2">
        <v>100</v>
      </c>
      <c r="G46" s="2">
        <v>0</v>
      </c>
      <c r="H46" s="2">
        <v>0</v>
      </c>
      <c r="I46" s="2">
        <v>0</v>
      </c>
      <c r="J46" s="2">
        <f t="shared" si="1"/>
        <v>100</v>
      </c>
      <c r="K46" s="2">
        <f>(B46-C46)*(F46/100)/13.739242*1 + (B46-C46)*(G46/100)/13.739242*0.75 + (B46-C46)*(H46/100)/13.739242*0.45 +(B46-C46)*(I46/100)/13.739242*0.2</f>
        <v>194.94306891166201</v>
      </c>
    </row>
    <row r="47" spans="1:11" x14ac:dyDescent="0.3">
      <c r="A47" s="2" t="s">
        <v>57</v>
      </c>
      <c r="B47" s="2">
        <v>97.67</v>
      </c>
      <c r="C47" s="2">
        <v>0</v>
      </c>
      <c r="D47" s="2">
        <v>7.9124812295053006</v>
      </c>
      <c r="E47" s="2">
        <v>12.343789156275379</v>
      </c>
      <c r="F47" s="2">
        <v>100</v>
      </c>
      <c r="G47" s="2">
        <v>0</v>
      </c>
      <c r="H47" s="2">
        <v>0</v>
      </c>
      <c r="I47" s="2">
        <v>0</v>
      </c>
      <c r="J47" s="2">
        <f t="shared" si="1"/>
        <v>100</v>
      </c>
      <c r="K47" s="2">
        <f>(B47-C47)*(F47/100)/7.912481*1 + (B47-C47)*(G47/100)/7.912481*0.75 + (B47-C47)*(H47/100)/7.912481*0.45 +(B47-C47)*(I47/100)/7.912481*0.2</f>
        <v>12.343789514312894</v>
      </c>
    </row>
    <row r="48" spans="1:11" x14ac:dyDescent="0.3">
      <c r="A48" s="2" t="s">
        <v>58</v>
      </c>
      <c r="B48" s="2">
        <v>15.6</v>
      </c>
      <c r="C48" s="2">
        <v>0</v>
      </c>
      <c r="D48" s="2">
        <v>16.712214471159719</v>
      </c>
      <c r="E48" s="2">
        <v>0.93344900682796572</v>
      </c>
      <c r="F48" s="2">
        <v>100</v>
      </c>
      <c r="G48" s="2">
        <v>0</v>
      </c>
      <c r="H48" s="2">
        <v>0</v>
      </c>
      <c r="I48" s="2">
        <v>0</v>
      </c>
      <c r="J48" s="2">
        <f t="shared" si="1"/>
        <v>100</v>
      </c>
      <c r="K48" s="2">
        <f>(B48-C48)*(F48/100)/16.712214*1 + (B48-C48)*(G48/100)/16.712214*0.75 + (B48-C48)*(H48/100)/16.712214*0.45 +(B48-C48)*(I48/100)/16.712214*0.2</f>
        <v>0.93344903314426209</v>
      </c>
    </row>
    <row r="49" spans="1:11" x14ac:dyDescent="0.3">
      <c r="A49" s="2" t="s">
        <v>59</v>
      </c>
      <c r="B49" s="2">
        <v>112.41</v>
      </c>
      <c r="C49" s="2">
        <v>0</v>
      </c>
      <c r="D49" s="2">
        <v>20.346979060615539</v>
      </c>
      <c r="E49" s="2">
        <v>5.5246530536607024</v>
      </c>
      <c r="F49" s="2">
        <v>100</v>
      </c>
      <c r="G49" s="2">
        <v>0</v>
      </c>
      <c r="H49" s="2">
        <v>0</v>
      </c>
      <c r="I49" s="2">
        <v>0</v>
      </c>
      <c r="J49" s="2">
        <f t="shared" si="1"/>
        <v>100</v>
      </c>
      <c r="K49" s="2">
        <f>(B49-C49)*(F49/100)/20.346979*1 + (B49-C49)*(G49/100)/20.346979*0.75 + (B49-C49)*(H49/100)/20.346979*0.45 +(B49-C49)*(I49/100)/20.346979*0.2</f>
        <v>5.5246530701191556</v>
      </c>
    </row>
    <row r="50" spans="1:11" x14ac:dyDescent="0.3">
      <c r="A50" s="2" t="s">
        <v>60</v>
      </c>
      <c r="B50" s="2">
        <v>242.43</v>
      </c>
      <c r="C50" s="2">
        <v>0</v>
      </c>
      <c r="D50" s="2">
        <v>6.476289615252532</v>
      </c>
      <c r="E50" s="2">
        <v>37.433471077180492</v>
      </c>
      <c r="F50" s="2">
        <v>100</v>
      </c>
      <c r="G50" s="2">
        <v>0</v>
      </c>
      <c r="H50" s="2">
        <v>0</v>
      </c>
      <c r="I50" s="2">
        <v>0</v>
      </c>
      <c r="J50" s="2">
        <f t="shared" si="1"/>
        <v>100</v>
      </c>
      <c r="K50" s="2">
        <f>(B50-C50)*(F50/100)/6.47629*1 + (B50-C50)*(G50/100)/6.47629*0.75 + (B50-C50)*(H50/100)/6.47629*0.45 +(B50-C50)*(I50/100)/6.47629*0.2</f>
        <v>37.433468853309535</v>
      </c>
    </row>
    <row r="51" spans="1:11" x14ac:dyDescent="0.3">
      <c r="A51" s="2" t="s">
        <v>61</v>
      </c>
      <c r="B51" s="2">
        <v>77.87</v>
      </c>
      <c r="C51" s="2">
        <v>0</v>
      </c>
      <c r="D51" s="2">
        <v>8.5681064946842085</v>
      </c>
      <c r="E51" s="2">
        <v>9.0883557584527939</v>
      </c>
      <c r="F51" s="2">
        <v>100</v>
      </c>
      <c r="G51" s="2">
        <v>0</v>
      </c>
      <c r="H51" s="2">
        <v>0</v>
      </c>
      <c r="I51" s="2">
        <v>0</v>
      </c>
      <c r="J51" s="2">
        <f t="shared" si="1"/>
        <v>100</v>
      </c>
      <c r="K51" s="2">
        <f>(B51-C51)*(F51/100)/8.568106*1 + (B51-C51)*(G51/100)/8.568106*0.75 + (B51-C51)*(H51/100)/8.568106*0.45 +(B51-C51)*(I51/100)/8.568106*0.2</f>
        <v>9.0883562831739013</v>
      </c>
    </row>
    <row r="52" spans="1:11" x14ac:dyDescent="0.3">
      <c r="A52" s="2" t="s">
        <v>62</v>
      </c>
      <c r="B52" s="2">
        <v>950.61000000000013</v>
      </c>
      <c r="C52" s="2">
        <v>0</v>
      </c>
      <c r="D52" s="2">
        <v>8.646187328417378</v>
      </c>
      <c r="E52" s="2">
        <v>109.94557067664211</v>
      </c>
      <c r="F52" s="2">
        <v>100</v>
      </c>
      <c r="G52" s="2">
        <v>0</v>
      </c>
      <c r="H52" s="2">
        <v>0</v>
      </c>
      <c r="I52" s="2">
        <v>0</v>
      </c>
      <c r="J52" s="2">
        <f t="shared" si="1"/>
        <v>100</v>
      </c>
      <c r="K52" s="2">
        <f>(B52-C52)*(F52/100)/8.646187*1 + (B52-C52)*(G52/100)/8.646187*0.75 + (B52-C52)*(H52/100)/8.646187*0.45 +(B52-C52)*(I52/100)/8.646187*0.2</f>
        <v>109.94557485282243</v>
      </c>
    </row>
    <row r="53" spans="1:11" x14ac:dyDescent="0.3">
      <c r="A53" s="2" t="s">
        <v>63</v>
      </c>
      <c r="B53" s="2">
        <v>3597.7400000000011</v>
      </c>
      <c r="C53" s="2">
        <v>11.35</v>
      </c>
      <c r="D53" s="2">
        <v>11.910059844619919</v>
      </c>
      <c r="E53" s="2">
        <v>302.07572816060957</v>
      </c>
      <c r="F53" s="2">
        <v>100</v>
      </c>
      <c r="G53" s="2">
        <v>0</v>
      </c>
      <c r="H53" s="2">
        <v>0</v>
      </c>
      <c r="I53" s="2">
        <v>0</v>
      </c>
      <c r="J53" s="2">
        <f t="shared" si="1"/>
        <v>100</v>
      </c>
      <c r="K53" s="2">
        <f>(B53-C53)*(F53/100)/11.872486*1 + (B53-C53)*(G53/100)/11.872486*0.75 + (B53-C53)*(H53/100)/11.872486*0.45 +(B53-C53)*(I53/100)/11.872486*0.2</f>
        <v>302.07574049781999</v>
      </c>
    </row>
    <row r="54" spans="1:11" x14ac:dyDescent="0.3">
      <c r="A54" s="2" t="s">
        <v>64</v>
      </c>
      <c r="B54" s="2">
        <v>32.729999999999997</v>
      </c>
      <c r="C54" s="2">
        <v>0</v>
      </c>
      <c r="D54" s="2">
        <v>7.2228580681984704</v>
      </c>
      <c r="E54" s="2">
        <v>4.5314472042731886</v>
      </c>
      <c r="F54" s="2">
        <v>100</v>
      </c>
      <c r="G54" s="2">
        <v>0</v>
      </c>
      <c r="H54" s="2">
        <v>0</v>
      </c>
      <c r="I54" s="2">
        <v>0</v>
      </c>
      <c r="J54" s="2">
        <f t="shared" si="1"/>
        <v>100</v>
      </c>
      <c r="K54" s="2">
        <f>(B54-C54)*(F54/100)/7.222858*1 + (B54-C54)*(G54/100)/7.222858*0.75 + (B54-C54)*(H54/100)/7.222858*0.45 +(B54-C54)*(I54/100)/7.222858*0.2</f>
        <v>4.5314472470592664</v>
      </c>
    </row>
    <row r="55" spans="1:11" x14ac:dyDescent="0.3">
      <c r="A55" s="2" t="s">
        <v>65</v>
      </c>
      <c r="B55" s="2">
        <v>1560</v>
      </c>
      <c r="C55" s="2">
        <v>0</v>
      </c>
      <c r="D55" s="2">
        <v>9.9061009377528677</v>
      </c>
      <c r="E55" s="2">
        <v>157.47871032231541</v>
      </c>
      <c r="F55" s="2">
        <v>100</v>
      </c>
      <c r="G55" s="2">
        <v>0</v>
      </c>
      <c r="H55" s="2">
        <v>0</v>
      </c>
      <c r="I55" s="2">
        <v>0</v>
      </c>
      <c r="J55" s="2">
        <f t="shared" si="1"/>
        <v>100</v>
      </c>
      <c r="K55" s="2">
        <f>(B55-C55)*(F55/100)/9.906101*1 + (B55-C55)*(G55/100)/9.906101*0.75 + (B55-C55)*(H55/100)/9.906101*0.45 +(B55-C55)*(I55/100)/9.906101*0.2</f>
        <v>157.47870933276371</v>
      </c>
    </row>
    <row r="56" spans="1:11" x14ac:dyDescent="0.3">
      <c r="A56" s="2" t="s">
        <v>66</v>
      </c>
      <c r="B56" s="2">
        <v>2628.6</v>
      </c>
      <c r="C56" s="2">
        <v>0</v>
      </c>
      <c r="D56" s="2">
        <v>10.166814634623149</v>
      </c>
      <c r="E56" s="2">
        <v>258.54705672003558</v>
      </c>
      <c r="F56" s="2">
        <v>100</v>
      </c>
      <c r="G56" s="2">
        <v>0</v>
      </c>
      <c r="H56" s="2">
        <v>0</v>
      </c>
      <c r="I56" s="2">
        <v>0</v>
      </c>
      <c r="J56" s="2">
        <f t="shared" si="1"/>
        <v>100</v>
      </c>
      <c r="K56" s="2">
        <f>(B56-C56)*(F56/100)/10.166815*1 + (B56-C56)*(G56/100)/10.166815*0.75 + (B56-C56)*(H56/100)/10.166815*0.45 +(B56-C56)*(I56/100)/10.166815*0.2</f>
        <v>258.54704742832439</v>
      </c>
    </row>
    <row r="57" spans="1:11" x14ac:dyDescent="0.3">
      <c r="A57" s="2" t="s">
        <v>67</v>
      </c>
      <c r="B57" s="2">
        <v>141.19</v>
      </c>
      <c r="C57" s="2">
        <v>0</v>
      </c>
      <c r="D57" s="2">
        <v>11.369394063004091</v>
      </c>
      <c r="E57" s="2">
        <v>12.418427861466339</v>
      </c>
      <c r="F57" s="2">
        <v>100</v>
      </c>
      <c r="G57" s="2">
        <v>0</v>
      </c>
      <c r="H57" s="2">
        <v>0</v>
      </c>
      <c r="I57" s="2">
        <v>0</v>
      </c>
      <c r="J57" s="2">
        <f t="shared" si="1"/>
        <v>100</v>
      </c>
      <c r="K57" s="2">
        <f>(B57-C57)*(F57/100)/11.369394*1 + (B57-C57)*(G57/100)/11.369394*0.75 + (B57-C57)*(H57/100)/11.369394*0.45 +(B57-C57)*(I57/100)/11.369394*0.2</f>
        <v>12.418427930283707</v>
      </c>
    </row>
    <row r="58" spans="1:11" x14ac:dyDescent="0.3">
      <c r="A58" s="2" t="s">
        <v>68</v>
      </c>
      <c r="B58" s="2">
        <v>9.85</v>
      </c>
      <c r="C58" s="2">
        <v>0</v>
      </c>
      <c r="D58" s="2">
        <v>17.447177161742939</v>
      </c>
      <c r="E58" s="2">
        <v>0.56456124155135268</v>
      </c>
      <c r="F58" s="2">
        <v>100</v>
      </c>
      <c r="G58" s="2">
        <v>0</v>
      </c>
      <c r="H58" s="2">
        <v>0</v>
      </c>
      <c r="I58" s="2">
        <v>0</v>
      </c>
      <c r="J58" s="2">
        <f t="shared" si="1"/>
        <v>100</v>
      </c>
      <c r="K58" s="2">
        <f>(B58-C58)*(F58/100)/17.447177*1 + (B58-C58)*(G58/100)/17.447177*0.75 + (B58-C58)*(H58/100)/17.447177*0.45 +(B58-C58)*(I58/100)/17.447177*0.2</f>
        <v>0.56456124678508157</v>
      </c>
    </row>
    <row r="59" spans="1:11" x14ac:dyDescent="0.3">
      <c r="A59" s="2" t="s">
        <v>69</v>
      </c>
      <c r="B59" s="2">
        <v>528.33999999999992</v>
      </c>
      <c r="C59" s="2">
        <v>0</v>
      </c>
      <c r="D59" s="2">
        <v>6.0582823740074616</v>
      </c>
      <c r="E59" s="2">
        <v>87.209536859291532</v>
      </c>
      <c r="F59" s="2">
        <v>100</v>
      </c>
      <c r="G59" s="2">
        <v>0</v>
      </c>
      <c r="H59" s="2">
        <v>0</v>
      </c>
      <c r="I59" s="2">
        <v>0</v>
      </c>
      <c r="J59" s="2">
        <f t="shared" si="1"/>
        <v>100</v>
      </c>
      <c r="K59" s="2">
        <f>(B59-C59)*(F59/100)/6.058282*1 + (B59-C59)*(G59/100)/6.058282*0.75 + (B59-C59)*(H59/100)/6.058282*0.45 +(B59-C59)*(I59/100)/6.058282*0.2</f>
        <v>87.209542243163966</v>
      </c>
    </row>
    <row r="60" spans="1:11" x14ac:dyDescent="0.3">
      <c r="A60" s="2" t="s">
        <v>70</v>
      </c>
      <c r="B60" s="2">
        <v>326.61999999999989</v>
      </c>
      <c r="C60" s="2">
        <v>0</v>
      </c>
      <c r="D60" s="2">
        <v>30.136336999051469</v>
      </c>
      <c r="E60" s="2">
        <v>10.838078961297789</v>
      </c>
      <c r="F60" s="2">
        <v>100</v>
      </c>
      <c r="G60" s="2">
        <v>0</v>
      </c>
      <c r="H60" s="2">
        <v>0</v>
      </c>
      <c r="I60" s="2">
        <v>0</v>
      </c>
      <c r="J60" s="2">
        <f t="shared" si="1"/>
        <v>100</v>
      </c>
      <c r="K60" s="2">
        <f>(B60-C60)*(F60/100)/30.136337*1 + (B60-C60)*(G60/100)/30.136337*0.75 + (B60-C60)*(H60/100)/30.136337*0.45 +(B60-C60)*(I60/100)/30.136337*0.2</f>
        <v>10.838078960956665</v>
      </c>
    </row>
    <row r="61" spans="1:11" x14ac:dyDescent="0.3">
      <c r="A61" s="3" t="s">
        <v>71</v>
      </c>
      <c r="B61" s="3">
        <f>SUM(B10:B60)</f>
        <v>37369.14</v>
      </c>
      <c r="C61" s="3">
        <f>SUM(C10:C60)</f>
        <v>337.64000000000004</v>
      </c>
      <c r="D61" s="2"/>
      <c r="E61" s="4">
        <f>SUM(E10:E60)</f>
        <v>2889.0838468273546</v>
      </c>
      <c r="F61" s="2"/>
      <c r="G61" s="2"/>
      <c r="H61" s="2"/>
      <c r="I61" s="2"/>
      <c r="J61" s="2"/>
      <c r="K61" s="4">
        <f>SUM(K10:K60)</f>
        <v>2889.0838633693206</v>
      </c>
    </row>
  </sheetData>
  <pageMargins left="0.75" right="0.75" top="1" bottom="1" header="0.5" footer="0.5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pdk LTCC</vt:lpstr>
      <vt:lpstr>Summary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Banerjee, Saumitra (Services, Clayton)</cp:lastModifiedBy>
  <dcterms:created xsi:type="dcterms:W3CDTF">2021-09-07T13:29:00Z</dcterms:created>
  <dcterms:modified xsi:type="dcterms:W3CDTF">2021-10-25T05:20:23Z</dcterms:modified>
</cp:coreProperties>
</file>